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áskay Imre\Documents\2020 QD II né\"/>
    </mc:Choice>
  </mc:AlternateContent>
  <xr:revisionPtr revIDLastSave="0" documentId="8_{907DF1DC-B497-4D5A-9D5F-2E5A2A20E6DD}" xr6:coauthVersionLast="44" xr6:coauthVersionMax="44" xr10:uidLastSave="{00000000-0000-0000-0000-000000000000}"/>
  <workbookProtection workbookPassword="DF09" lockStructure="1"/>
  <bookViews>
    <workbookView xWindow="-108" yWindow="-108" windowWidth="23256" windowHeight="12576" xr2:uid="{00000000-000D-0000-FFFF-FFFF00000000}"/>
  </bookViews>
  <sheets>
    <sheet name="Daphnia teszt WESSLING" sheetId="2" r:id="rId1"/>
    <sheet name="Munka1" sheetId="1" state="hidden" r:id="rId2"/>
  </sheets>
  <definedNames>
    <definedName name="_xlnm.Print_Area" localSheetId="0">'Daphnia teszt WESSLING'!$C$1:$L$48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H12" i="2"/>
  <c r="H8" i="2"/>
  <c r="I8" i="2"/>
  <c r="H9" i="2"/>
  <c r="I9" i="2"/>
  <c r="H7" i="2"/>
  <c r="I7" i="2"/>
  <c r="C1" i="1"/>
  <c r="H10" i="2"/>
  <c r="I10" i="2" s="1"/>
  <c r="A4" i="1"/>
  <c r="B4" i="1" s="1"/>
  <c r="A5" i="1"/>
  <c r="B5" i="1" s="1"/>
  <c r="A6" i="1"/>
  <c r="E6" i="1" s="1"/>
  <c r="A7" i="1"/>
  <c r="B7" i="1" s="1"/>
  <c r="A3" i="1"/>
  <c r="E3" i="1" s="1"/>
  <c r="A8" i="1"/>
  <c r="E8" i="1" s="1"/>
  <c r="H6" i="2"/>
  <c r="I12" i="2"/>
  <c r="C4" i="1"/>
  <c r="D4" i="1" s="1"/>
  <c r="C5" i="1"/>
  <c r="D5" i="1" s="1"/>
  <c r="E4" i="1"/>
  <c r="E7" i="1" l="1"/>
  <c r="B8" i="1"/>
  <c r="H4" i="1"/>
  <c r="F5" i="1"/>
  <c r="G5" i="1"/>
  <c r="B3" i="1"/>
  <c r="G4" i="1"/>
  <c r="F4" i="1"/>
  <c r="B6" i="1"/>
  <c r="C7" i="1"/>
  <c r="C6" i="1"/>
  <c r="C8" i="1"/>
  <c r="D8" i="1" s="1"/>
  <c r="C3" i="1"/>
  <c r="D3" i="1" s="1"/>
  <c r="D7" i="1"/>
  <c r="E5" i="1"/>
  <c r="D6" i="1"/>
  <c r="G8" i="1" l="1"/>
  <c r="F8" i="1"/>
  <c r="D9" i="1"/>
  <c r="H8" i="1"/>
  <c r="H6" i="1"/>
  <c r="F6" i="1"/>
  <c r="G6" i="1"/>
  <c r="H7" i="1"/>
  <c r="G7" i="1"/>
  <c r="F7" i="1"/>
  <c r="G3" i="1"/>
  <c r="F3" i="1"/>
  <c r="H3" i="1"/>
  <c r="D11" i="1"/>
  <c r="C11" i="1"/>
  <c r="F11" i="1"/>
  <c r="B11" i="1"/>
  <c r="A11" i="1"/>
  <c r="E11" i="1"/>
  <c r="H5" i="1"/>
  <c r="C12" i="1"/>
  <c r="F12" i="1"/>
  <c r="E12" i="1"/>
  <c r="A12" i="1"/>
  <c r="B12" i="1"/>
  <c r="D12" i="1"/>
  <c r="K14" i="2" l="1"/>
  <c r="I14" i="2" s="1"/>
  <c r="K13" i="2"/>
  <c r="I13" i="2" s="1"/>
  <c r="C14" i="1"/>
  <c r="E14" i="1"/>
  <c r="F14" i="1"/>
  <c r="A14" i="1"/>
  <c r="B14" i="1"/>
  <c r="D14" i="1"/>
  <c r="A15" i="1"/>
  <c r="F15" i="1"/>
  <c r="E15" i="1"/>
  <c r="C15" i="1"/>
  <c r="D15" i="1"/>
  <c r="B15" i="1"/>
  <c r="C10" i="1"/>
  <c r="E10" i="1"/>
  <c r="A10" i="1"/>
  <c r="K2" i="1"/>
  <c r="F10" i="1"/>
  <c r="F16" i="1" s="1"/>
  <c r="D10" i="1"/>
  <c r="B10" i="1"/>
  <c r="K1" i="1"/>
  <c r="D13" i="1"/>
  <c r="E13" i="1"/>
  <c r="F13" i="1"/>
  <c r="A13" i="1"/>
  <c r="B13" i="1"/>
  <c r="C13" i="1"/>
  <c r="H18" i="1"/>
  <c r="M3" i="1" l="1"/>
  <c r="M1" i="1"/>
  <c r="M2" i="1"/>
  <c r="L5" i="1"/>
  <c r="M5" i="1"/>
  <c r="L6" i="1"/>
  <c r="M6" i="1"/>
  <c r="J6" i="1" l="1"/>
  <c r="J7" i="1" s="1"/>
  <c r="J5" i="1"/>
  <c r="J4" i="1" s="1"/>
  <c r="H15" i="2" s="1"/>
  <c r="J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csepese</author>
  </authors>
  <commentList>
    <comment ref="F2" authorId="0" shapeId="0" xr:uid="{00000000-0006-0000-0100-000001000000}">
      <text>
        <r>
          <rPr>
            <b/>
            <sz val="8"/>
            <color indexed="81"/>
            <rFont val="Tahoma"/>
            <charset val="238"/>
          </rPr>
          <t>csepese:</t>
        </r>
        <r>
          <rPr>
            <sz val="8"/>
            <color indexed="81"/>
            <rFont val="Tahoma"/>
            <charset val="238"/>
          </rPr>
          <t xml:space="preserve">
inverz normál eloszlás</t>
        </r>
      </text>
    </comment>
  </commentList>
</comments>
</file>

<file path=xl/sharedStrings.xml><?xml version="1.0" encoding="utf-8"?>
<sst xmlns="http://schemas.openxmlformats.org/spreadsheetml/2006/main" count="46" uniqueCount="33">
  <si>
    <t>T</t>
  </si>
  <si>
    <t>ln konc%</t>
  </si>
  <si>
    <t>0kontroll</t>
  </si>
  <si>
    <t>Y=</t>
  </si>
  <si>
    <t>probY=</t>
  </si>
  <si>
    <t>Hígítás</t>
  </si>
  <si>
    <t xml:space="preserve">Elpusztult állatok száma </t>
  </si>
  <si>
    <t>Kontroll</t>
  </si>
  <si>
    <t>a</t>
  </si>
  <si>
    <t>b</t>
  </si>
  <si>
    <t>c</t>
  </si>
  <si>
    <t>d</t>
  </si>
  <si>
    <t>0h</t>
  </si>
  <si>
    <t>pH</t>
  </si>
  <si>
    <t>0%-os immobilizációhoz tartozó koncentráció:</t>
  </si>
  <si>
    <t>100%-os immobilizációhoz tartozó koncentráció:</t>
  </si>
  <si>
    <t>hígítás:</t>
  </si>
  <si>
    <t>P(%)</t>
  </si>
  <si>
    <t>konc (VV%)</t>
  </si>
  <si>
    <t>probit</t>
  </si>
  <si>
    <t>kritérium</t>
  </si>
  <si>
    <t>Pusztulás mértéke (P%)</t>
  </si>
  <si>
    <t>F</t>
  </si>
  <si>
    <t>E</t>
  </si>
  <si>
    <t>D</t>
  </si>
  <si>
    <t>kritérium1</t>
  </si>
  <si>
    <t>Mozgásképes Daphniák  száma párhuzamosonként</t>
  </si>
  <si>
    <r>
      <t>oldott 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charset val="238"/>
      </rPr>
      <t xml:space="preserve"> mg/L</t>
    </r>
  </si>
  <si>
    <t>48h</t>
  </si>
  <si>
    <r>
      <t>EC</t>
    </r>
    <r>
      <rPr>
        <b/>
        <vertAlign val="subscript"/>
        <sz val="10"/>
        <rFont val="Arial"/>
        <family val="2"/>
        <charset val="238"/>
      </rPr>
      <t>50</t>
    </r>
    <r>
      <rPr>
        <b/>
        <sz val="10"/>
        <rFont val="Arial"/>
        <family val="2"/>
        <charset val="238"/>
      </rPr>
      <t>48h:</t>
    </r>
  </si>
  <si>
    <t>dilTE 48h:</t>
  </si>
  <si>
    <t>Minta jele:</t>
  </si>
  <si>
    <t>FSZ-TOX-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</si>
</sst>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&quot; x&quot;"/>
    <numFmt numFmtId="167" formatCode="###.0&quot; VV%&quot;"/>
    <numFmt numFmtId="168" formatCode="0.00&quot; V/V%&quot;"/>
  </numFmts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color indexed="17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/>
    <xf numFmtId="0" fontId="0" fillId="4" borderId="4" xfId="0" applyFill="1" applyBorder="1"/>
    <xf numFmtId="0" fontId="0" fillId="4" borderId="5" xfId="0" applyFill="1" applyBorder="1"/>
    <xf numFmtId="0" fontId="0" fillId="4" borderId="3" xfId="0" applyFill="1" applyBorder="1"/>
    <xf numFmtId="0" fontId="0" fillId="4" borderId="6" xfId="0" applyFill="1" applyBorder="1"/>
    <xf numFmtId="167" fontId="0" fillId="4" borderId="0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4" borderId="13" xfId="0" applyFill="1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8" xfId="0" applyFill="1" applyBorder="1" applyAlignment="1">
      <alignment horizontal="center"/>
    </xf>
    <xf numFmtId="165" fontId="0" fillId="4" borderId="0" xfId="0" applyNumberFormat="1" applyFill="1"/>
    <xf numFmtId="1" fontId="2" fillId="0" borderId="0" xfId="0" applyNumberFormat="1" applyFont="1"/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166" fontId="4" fillId="4" borderId="9" xfId="0" applyNumberFormat="1" applyFont="1" applyFill="1" applyBorder="1" applyAlignment="1" applyProtection="1">
      <alignment horizontal="center"/>
    </xf>
    <xf numFmtId="0" fontId="0" fillId="0" borderId="14" xfId="0" applyNumberFormat="1" applyBorder="1" applyAlignment="1" applyProtection="1">
      <alignment horizontal="center"/>
      <protection locked="0"/>
    </xf>
    <xf numFmtId="0" fontId="0" fillId="0" borderId="15" xfId="0" applyNumberForma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4" fillId="6" borderId="9" xfId="0" applyFont="1" applyFill="1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right"/>
      <protection locked="0"/>
    </xf>
    <xf numFmtId="0" fontId="0" fillId="4" borderId="0" xfId="0" applyFill="1" applyBorder="1" applyAlignment="1" applyProtection="1">
      <alignment horizontal="right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168" fontId="4" fillId="4" borderId="9" xfId="0" applyNumberFormat="1" applyFont="1" applyFill="1" applyBorder="1" applyAlignment="1">
      <alignment horizontal="center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Regressziós egyenes a 48h -dilTE és EC</a:t>
            </a:r>
            <a:r>
              <a:rPr lang="hu-HU" sz="9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50</a:t>
            </a:r>
            <a:r>
              <a:rPr lang="hu-HU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meghatározásához</a:t>
            </a:r>
          </a:p>
        </c:rich>
      </c:tx>
      <c:layout>
        <c:manualLayout>
          <c:xMode val="edge"/>
          <c:yMode val="edge"/>
          <c:x val="0.14548822281192761"/>
          <c:y val="5.027932960893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136756763562"/>
          <c:y val="0.26815679032383466"/>
          <c:w val="0.784531797687539"/>
          <c:h val="0.533520280748462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Munka1!$D$2</c:f>
              <c:strCache>
                <c:ptCount val="1"/>
                <c:pt idx="0">
                  <c:v>P(%)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forward val="0.5"/>
            <c:backward val="1"/>
            <c:dispRSqr val="1"/>
            <c:dispEq val="1"/>
            <c:trendlineLbl>
              <c:layout>
                <c:manualLayout>
                  <c:x val="-3.9795180770527933E-2"/>
                  <c:y val="-0.40337904937284141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C0C0C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Munka1!$A$10:$A$15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xVal>
          <c:yVal>
            <c:numRef>
              <c:f>Munka1!$F$10:$F$15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F2-497B-8CDB-1C852D50DE96}"/>
            </c:ext>
          </c:extLst>
        </c:ser>
        <c:ser>
          <c:idx val="1"/>
          <c:order val="1"/>
          <c:tx>
            <c:strRef>
              <c:f>Munka1!$I$4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x"/>
            <c:size val="8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Munka1!$J$4:$J$5</c:f>
              <c:numCache>
                <c:formatCode>0.0000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Munka1!$K$4:$K$5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F2-497B-8CDB-1C852D50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36192"/>
        <c:axId val="159738496"/>
      </c:scatterChart>
      <c:valAx>
        <c:axId val="159736192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Ln hígítás</a:t>
                </a:r>
              </a:p>
            </c:rich>
          </c:tx>
          <c:layout>
            <c:manualLayout>
              <c:xMode val="edge"/>
              <c:yMode val="edge"/>
              <c:x val="0.35543336088513794"/>
              <c:y val="0.89106262555169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159738496"/>
        <c:crosses val="autoZero"/>
        <c:crossBetween val="midCat"/>
      </c:valAx>
      <c:valAx>
        <c:axId val="15973849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Probit (mozgásképtelnség P%)</a:t>
                </a:r>
              </a:p>
            </c:rich>
          </c:tx>
          <c:layout>
            <c:manualLayout>
              <c:xMode val="edge"/>
              <c:yMode val="edge"/>
              <c:x val="4.235727440147332E-2"/>
              <c:y val="0.287709790466135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159736192"/>
        <c:crossesAt val="1"/>
        <c:crossBetween val="midCat"/>
        <c:majorUnit val="2.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217805031223262"/>
          <c:y val="0.12743024237763209"/>
          <c:w val="0.18338118503752973"/>
          <c:h val="0.116631069294781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22" r="0.75000000000000022" t="1" header="0.5" footer="0.5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18</xdr:row>
      <xdr:rowOff>91440</xdr:rowOff>
    </xdr:from>
    <xdr:to>
      <xdr:col>11</xdr:col>
      <xdr:colOff>358140</xdr:colOff>
      <xdr:row>39</xdr:row>
      <xdr:rowOff>99060</xdr:rowOff>
    </xdr:to>
    <xdr:graphicFrame macro="">
      <xdr:nvGraphicFramePr>
        <xdr:cNvPr id="2080" name="Chart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showGridLines="0" tabSelected="1" zoomScaleNormal="100" workbookViewId="0">
      <selection activeCell="E1" sqref="E1:F1"/>
    </sheetView>
  </sheetViews>
  <sheetFormatPr defaultRowHeight="13.2" x14ac:dyDescent="0.25"/>
  <cols>
    <col min="3" max="7" width="7.5546875" customWidth="1"/>
    <col min="8" max="9" width="11.33203125" customWidth="1"/>
    <col min="10" max="12" width="7.5546875" customWidth="1"/>
  </cols>
  <sheetData>
    <row r="1" spans="1:18" ht="21.75" customHeight="1" x14ac:dyDescent="0.25">
      <c r="A1" s="9"/>
      <c r="B1" s="9"/>
      <c r="C1" s="41" t="s">
        <v>31</v>
      </c>
      <c r="D1" s="42"/>
      <c r="E1" s="58" t="s">
        <v>32</v>
      </c>
      <c r="F1" s="5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3.8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42" customHeight="1" x14ac:dyDescent="0.25">
      <c r="A3" s="9"/>
      <c r="B3" s="9"/>
      <c r="C3" s="75" t="s">
        <v>5</v>
      </c>
      <c r="D3" s="72" t="s">
        <v>26</v>
      </c>
      <c r="E3" s="73"/>
      <c r="F3" s="73"/>
      <c r="G3" s="74"/>
      <c r="H3" s="78" t="s">
        <v>6</v>
      </c>
      <c r="I3" s="80" t="s">
        <v>21</v>
      </c>
      <c r="J3" s="64" t="s">
        <v>27</v>
      </c>
      <c r="K3" s="65"/>
      <c r="L3" s="68" t="s">
        <v>13</v>
      </c>
      <c r="M3" s="9"/>
      <c r="N3" s="9"/>
      <c r="O3" s="9"/>
      <c r="P3" s="9"/>
      <c r="Q3" s="9"/>
      <c r="R3" s="9"/>
    </row>
    <row r="4" spans="1:18" x14ac:dyDescent="0.25">
      <c r="A4" s="9"/>
      <c r="B4" s="9"/>
      <c r="C4" s="76"/>
      <c r="D4" s="46" t="s">
        <v>8</v>
      </c>
      <c r="E4" s="47" t="s">
        <v>9</v>
      </c>
      <c r="F4" s="47" t="s">
        <v>10</v>
      </c>
      <c r="G4" s="48" t="s">
        <v>11</v>
      </c>
      <c r="H4" s="79"/>
      <c r="I4" s="81"/>
      <c r="J4" s="66"/>
      <c r="K4" s="67"/>
      <c r="L4" s="69"/>
      <c r="M4" s="9"/>
      <c r="N4" s="9"/>
      <c r="O4" s="9"/>
      <c r="P4" s="9"/>
      <c r="Q4" s="9"/>
      <c r="R4" s="9"/>
    </row>
    <row r="5" spans="1:18" ht="13.8" thickBot="1" x14ac:dyDescent="0.3">
      <c r="A5" s="9"/>
      <c r="B5" s="9"/>
      <c r="C5" s="77"/>
      <c r="D5" s="49" t="s">
        <v>28</v>
      </c>
      <c r="E5" s="50" t="s">
        <v>28</v>
      </c>
      <c r="F5" s="50" t="s">
        <v>28</v>
      </c>
      <c r="G5" s="51" t="s">
        <v>28</v>
      </c>
      <c r="H5" s="52" t="s">
        <v>28</v>
      </c>
      <c r="I5" s="53" t="s">
        <v>28</v>
      </c>
      <c r="J5" s="49" t="s">
        <v>12</v>
      </c>
      <c r="K5" s="51" t="s">
        <v>28</v>
      </c>
      <c r="L5" s="54" t="s">
        <v>12</v>
      </c>
      <c r="M5" s="9"/>
      <c r="N5" s="9"/>
      <c r="O5" s="9"/>
      <c r="P5" s="9"/>
      <c r="Q5" s="9"/>
      <c r="R5" s="9"/>
    </row>
    <row r="6" spans="1:18" x14ac:dyDescent="0.25">
      <c r="A6" s="9"/>
      <c r="B6" s="9"/>
      <c r="C6" s="29" t="s">
        <v>7</v>
      </c>
      <c r="D6" s="25">
        <v>5</v>
      </c>
      <c r="E6" s="26">
        <v>5</v>
      </c>
      <c r="F6" s="26">
        <v>5</v>
      </c>
      <c r="G6" s="27">
        <v>5</v>
      </c>
      <c r="H6" s="11">
        <f>IF(ISBLANK(D6:G6),0,SUM($D$6:$G$6)-SUM(D6:G6))</f>
        <v>0</v>
      </c>
      <c r="I6" s="10">
        <v>0</v>
      </c>
      <c r="J6" s="25"/>
      <c r="K6" s="27"/>
      <c r="L6" s="28"/>
      <c r="M6" s="9"/>
      <c r="N6" s="9"/>
      <c r="O6" s="9"/>
      <c r="P6" s="9"/>
      <c r="Q6" s="9"/>
      <c r="R6" s="9"/>
    </row>
    <row r="7" spans="1:18" x14ac:dyDescent="0.25">
      <c r="A7" s="9"/>
      <c r="B7" s="9"/>
      <c r="C7" s="44"/>
      <c r="D7" s="6"/>
      <c r="E7" s="7"/>
      <c r="F7" s="7"/>
      <c r="G7" s="8"/>
      <c r="H7" s="11">
        <f t="shared" ref="H7:H12" si="0">IF(ISBLANK(D7:D7),0,SUM($D$6:$G$6)-SUM(D7:G7))</f>
        <v>0</v>
      </c>
      <c r="I7" s="12">
        <f t="shared" ref="I7:I12" si="1">H7/SUM($D$6:$G$6)*100</f>
        <v>0</v>
      </c>
      <c r="J7" s="6"/>
      <c r="K7" s="8"/>
      <c r="L7" s="23"/>
      <c r="M7" s="9"/>
      <c r="N7" s="9"/>
      <c r="O7" s="9"/>
      <c r="P7" s="9"/>
      <c r="Q7" s="9"/>
      <c r="R7" s="9"/>
    </row>
    <row r="8" spans="1:18" x14ac:dyDescent="0.25">
      <c r="A8" s="9"/>
      <c r="B8" s="9"/>
      <c r="C8" s="44"/>
      <c r="D8" s="6"/>
      <c r="E8" s="7"/>
      <c r="F8" s="7"/>
      <c r="G8" s="8"/>
      <c r="H8" s="11">
        <f t="shared" si="0"/>
        <v>0</v>
      </c>
      <c r="I8" s="12">
        <f t="shared" si="1"/>
        <v>0</v>
      </c>
      <c r="J8" s="6"/>
      <c r="K8" s="8"/>
      <c r="L8" s="23"/>
      <c r="M8" s="9"/>
      <c r="N8" s="9"/>
      <c r="O8" s="9"/>
      <c r="P8" s="9"/>
      <c r="Q8" s="9"/>
      <c r="R8" s="9"/>
    </row>
    <row r="9" spans="1:18" x14ac:dyDescent="0.25">
      <c r="A9" s="9"/>
      <c r="B9" s="9"/>
      <c r="C9" s="44"/>
      <c r="D9" s="6"/>
      <c r="E9" s="7"/>
      <c r="F9" s="7"/>
      <c r="G9" s="8"/>
      <c r="H9" s="11">
        <f t="shared" si="0"/>
        <v>0</v>
      </c>
      <c r="I9" s="12">
        <f t="shared" si="1"/>
        <v>0</v>
      </c>
      <c r="J9" s="6"/>
      <c r="K9" s="8"/>
      <c r="L9" s="23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44"/>
      <c r="D10" s="6"/>
      <c r="E10" s="7"/>
      <c r="F10" s="7"/>
      <c r="G10" s="8"/>
      <c r="H10" s="11">
        <f t="shared" si="0"/>
        <v>0</v>
      </c>
      <c r="I10" s="12">
        <f t="shared" si="1"/>
        <v>0</v>
      </c>
      <c r="J10" s="6"/>
      <c r="K10" s="8"/>
      <c r="L10" s="23"/>
      <c r="M10" s="9"/>
      <c r="N10" s="9"/>
      <c r="O10" s="9"/>
      <c r="P10" s="9"/>
      <c r="Q10" s="9"/>
      <c r="R10" s="9"/>
    </row>
    <row r="11" spans="1:18" x14ac:dyDescent="0.25">
      <c r="A11" s="9"/>
      <c r="B11" s="9"/>
      <c r="C11" s="44"/>
      <c r="D11" s="6"/>
      <c r="E11" s="7"/>
      <c r="F11" s="7"/>
      <c r="G11" s="8"/>
      <c r="H11" s="11">
        <f t="shared" si="0"/>
        <v>0</v>
      </c>
      <c r="I11" s="12">
        <f t="shared" si="1"/>
        <v>0</v>
      </c>
      <c r="J11" s="6"/>
      <c r="K11" s="8"/>
      <c r="L11" s="23"/>
      <c r="M11" s="9"/>
      <c r="N11" s="9"/>
      <c r="O11" s="9"/>
      <c r="P11" s="9"/>
      <c r="Q11" s="9"/>
      <c r="R11" s="9"/>
    </row>
    <row r="12" spans="1:18" ht="13.8" thickBot="1" x14ac:dyDescent="0.3">
      <c r="A12" s="9"/>
      <c r="B12" s="9"/>
      <c r="C12" s="45"/>
      <c r="D12" s="19"/>
      <c r="E12" s="20"/>
      <c r="F12" s="20"/>
      <c r="G12" s="21"/>
      <c r="H12" s="11">
        <f t="shared" si="0"/>
        <v>0</v>
      </c>
      <c r="I12" s="22">
        <f t="shared" si="1"/>
        <v>0</v>
      </c>
      <c r="J12" s="19"/>
      <c r="K12" s="21"/>
      <c r="L12" s="24"/>
      <c r="M12" s="9"/>
      <c r="N12" s="9"/>
      <c r="O12" s="9"/>
      <c r="P12" s="9"/>
      <c r="Q12" s="9"/>
      <c r="R12" s="9"/>
    </row>
    <row r="13" spans="1:18" ht="18.75" customHeight="1" x14ac:dyDescent="0.25">
      <c r="A13" s="9"/>
      <c r="B13" s="9"/>
      <c r="C13" s="70" t="s">
        <v>14</v>
      </c>
      <c r="D13" s="71"/>
      <c r="E13" s="71"/>
      <c r="F13" s="71"/>
      <c r="G13" s="71"/>
      <c r="H13" s="71"/>
      <c r="I13" s="14" t="str">
        <f>IF(ISERROR(1/K13*100),"–",1/K13*100)</f>
        <v>–</v>
      </c>
      <c r="J13" s="55" t="s">
        <v>16</v>
      </c>
      <c r="K13" s="30">
        <f>DMAX(Munka1!$A$2:$H$8,1,Munka1!N1:N2)</f>
        <v>0</v>
      </c>
      <c r="L13" s="13"/>
      <c r="M13" s="9"/>
      <c r="N13" s="9"/>
      <c r="O13" s="9"/>
      <c r="P13" s="9"/>
      <c r="Q13" s="9"/>
      <c r="R13" s="9"/>
    </row>
    <row r="14" spans="1:18" ht="18.75" customHeight="1" x14ac:dyDescent="0.25">
      <c r="A14" s="9"/>
      <c r="B14" s="9"/>
      <c r="C14" s="60" t="s">
        <v>15</v>
      </c>
      <c r="D14" s="61"/>
      <c r="E14" s="61"/>
      <c r="F14" s="61"/>
      <c r="G14" s="61"/>
      <c r="H14" s="61"/>
      <c r="I14" s="14" t="str">
        <f>IF(ISERROR(1/K14*100),"–",1/K14*100)</f>
        <v>–</v>
      </c>
      <c r="J14" s="56" t="s">
        <v>16</v>
      </c>
      <c r="K14" s="30">
        <f>DMIN(Munka1!$A$2:$H$8,1,Munka1!N1:N2)</f>
        <v>0</v>
      </c>
      <c r="L14" s="15"/>
      <c r="M14" s="9"/>
      <c r="N14" s="9"/>
      <c r="O14" s="9"/>
      <c r="P14" s="9"/>
      <c r="Q14" s="9"/>
      <c r="R14" s="9"/>
    </row>
    <row r="15" spans="1:18" ht="41.25" customHeight="1" thickBot="1" x14ac:dyDescent="0.4">
      <c r="A15" s="9"/>
      <c r="B15" s="9"/>
      <c r="C15" s="16"/>
      <c r="D15" s="17"/>
      <c r="E15" s="62" t="s">
        <v>30</v>
      </c>
      <c r="F15" s="62"/>
      <c r="G15" s="62"/>
      <c r="H15" s="43" t="str">
        <f ca="1">IF(ISERROR(Munka1!J4),"–",Munka1!J4)</f>
        <v>–</v>
      </c>
      <c r="I15" s="57" t="s">
        <v>29</v>
      </c>
      <c r="J15" s="63" t="str">
        <f ca="1">IF(ISERROR(100/H15),"–",100/H15)</f>
        <v>–</v>
      </c>
      <c r="K15" s="63"/>
      <c r="L15" s="18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5.2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32"/>
      <c r="E43" s="33"/>
      <c r="F43" s="33"/>
      <c r="G43" s="33"/>
      <c r="H43" s="33"/>
      <c r="I43" s="33"/>
      <c r="J43" s="33"/>
      <c r="K43" s="34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35"/>
      <c r="E44" s="36"/>
      <c r="F44" s="36"/>
      <c r="G44" s="36"/>
      <c r="H44" s="36"/>
      <c r="I44" s="36"/>
      <c r="J44" s="36"/>
      <c r="K44" s="37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35"/>
      <c r="E45" s="36"/>
      <c r="F45" s="36"/>
      <c r="G45" s="36"/>
      <c r="H45" s="36"/>
      <c r="I45" s="36"/>
      <c r="J45" s="36"/>
      <c r="K45" s="37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38"/>
      <c r="E46" s="39"/>
      <c r="F46" s="39"/>
      <c r="G46" s="39"/>
      <c r="H46" s="39"/>
      <c r="I46" s="39"/>
      <c r="J46" s="39"/>
      <c r="K46" s="40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password="DF09" sheet="1" objects="1" scenarios="1" selectLockedCells="1"/>
  <mergeCells count="11">
    <mergeCell ref="L3:L4"/>
    <mergeCell ref="C13:H13"/>
    <mergeCell ref="D3:G3"/>
    <mergeCell ref="C3:C5"/>
    <mergeCell ref="H3:H4"/>
    <mergeCell ref="I3:I4"/>
    <mergeCell ref="E1:F1"/>
    <mergeCell ref="C14:H14"/>
    <mergeCell ref="E15:G15"/>
    <mergeCell ref="J15:K15"/>
    <mergeCell ref="J3:K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>
    <oddFooter>&amp;R&amp;"Times New Roman,Normál"&amp;8DEMO verzió; készítette:  Csépes Eduárd KÖTI-KÖVIZIG Regionális Laboratórium 5000 Szolnok, Tiszaliget 1.
A program sokszorosításához, harmadik személynek történő átadásához, a tulajdonos engedélye szükséges</oddFooter>
  </headerFooter>
  <colBreaks count="1" manualBreakCount="1">
    <brk id="12" max="1048575" man="1"/>
  </colBreaks>
  <cellWatches>
    <cellWatch r="C1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opLeftCell="B1" workbookViewId="0">
      <selection activeCell="I20" sqref="I20"/>
    </sheetView>
  </sheetViews>
  <sheetFormatPr defaultRowHeight="13.2" x14ac:dyDescent="0.25"/>
  <cols>
    <col min="2" max="2" width="13.88671875" bestFit="1" customWidth="1"/>
    <col min="4" max="4" width="5.109375" bestFit="1" customWidth="1"/>
    <col min="5" max="5" width="12" bestFit="1" customWidth="1"/>
    <col min="6" max="6" width="5.5546875" bestFit="1" customWidth="1"/>
    <col min="7" max="7" width="10.33203125" bestFit="1" customWidth="1"/>
    <col min="8" max="8" width="12.44140625" bestFit="1" customWidth="1"/>
    <col min="9" max="9" width="10.33203125" bestFit="1" customWidth="1"/>
    <col min="10" max="10" width="13.6640625" bestFit="1" customWidth="1"/>
    <col min="11" max="11" width="10.33203125" bestFit="1" customWidth="1"/>
  </cols>
  <sheetData>
    <row r="1" spans="1:14" x14ac:dyDescent="0.25">
      <c r="B1" t="s">
        <v>2</v>
      </c>
      <c r="C1">
        <f>SUM('Daphnia teszt WESSLING'!D6:G6)</f>
        <v>20</v>
      </c>
      <c r="D1">
        <v>1</v>
      </c>
      <c r="I1" t="s">
        <v>20</v>
      </c>
      <c r="J1" t="s">
        <v>22</v>
      </c>
      <c r="K1">
        <f>MATCH(DMAX(Munka1!$A$2:$G$8,1,Munka1!$I$1:$I$2),$A$1:$A$8,0)</f>
        <v>3</v>
      </c>
      <c r="L1" t="s">
        <v>23</v>
      </c>
      <c r="M1" t="str">
        <f>J1&amp;K1&amp;":"&amp;J2&amp;K2</f>
        <v>F3:F3</v>
      </c>
      <c r="N1" t="s">
        <v>25</v>
      </c>
    </row>
    <row r="2" spans="1:14" x14ac:dyDescent="0.25">
      <c r="A2" t="s">
        <v>5</v>
      </c>
      <c r="B2" t="s">
        <v>18</v>
      </c>
      <c r="C2" t="s">
        <v>0</v>
      </c>
      <c r="D2" t="s">
        <v>17</v>
      </c>
      <c r="E2" t="s">
        <v>1</v>
      </c>
      <c r="F2" t="s">
        <v>19</v>
      </c>
      <c r="G2" t="s">
        <v>20</v>
      </c>
      <c r="H2" t="s">
        <v>25</v>
      </c>
      <c r="I2">
        <v>0</v>
      </c>
      <c r="J2" t="s">
        <v>22</v>
      </c>
      <c r="K2">
        <f>MATCH(DMIN(Munka1!$A$2:$G$8,1,Munka1!$I$1:$I$2),$A$1:$A$8,0)</f>
        <v>3</v>
      </c>
      <c r="L2" t="s">
        <v>23</v>
      </c>
      <c r="M2" t="str">
        <f>L1&amp;K1&amp;":"&amp;L2&amp;K2</f>
        <v>E3:E3</v>
      </c>
      <c r="N2">
        <v>0</v>
      </c>
    </row>
    <row r="3" spans="1:14" x14ac:dyDescent="0.25">
      <c r="A3">
        <f>'Daphnia teszt WESSLING'!C12</f>
        <v>0</v>
      </c>
      <c r="B3" s="31" t="e">
        <f t="shared" ref="B3:B8" si="0">1/A3*100</f>
        <v>#DIV/0!</v>
      </c>
      <c r="C3" s="1">
        <f>$C$1-'Daphnia teszt WESSLING'!H12</f>
        <v>20</v>
      </c>
      <c r="D3" s="3">
        <f t="shared" ref="D3:D8" si="1">(($C$1-C3)/$C$1)*100</f>
        <v>0</v>
      </c>
      <c r="E3" t="e">
        <f t="shared" ref="E3:E8" si="2">LN(A3)</f>
        <v>#NUM!</v>
      </c>
      <c r="F3" s="4">
        <f t="shared" ref="F3:F8" si="3">IF(D3=0,NORMINV((D3+0.00002868)/100,0,1)+5,IF(D3=100,NORMINV((D3-0.00002868)/100,0,1)+5,NORMINV((D3)/100,0,1)+5))</f>
        <v>9.9811084560919028E-5</v>
      </c>
      <c r="G3">
        <f>IF(D3=0,1,0)</f>
        <v>1</v>
      </c>
      <c r="H3">
        <f>IF(OR(AND(D3=100,D4&lt;100),AND(D3&lt;100,D4&gt;0)),0,1)</f>
        <v>1</v>
      </c>
      <c r="L3" t="s">
        <v>24</v>
      </c>
      <c r="M3" t="str">
        <f>L3&amp;K1&amp;":"&amp;L3&amp;K2</f>
        <v>D3:D3</v>
      </c>
    </row>
    <row r="4" spans="1:14" x14ac:dyDescent="0.25">
      <c r="A4">
        <f>'Daphnia teszt WESSLING'!C11</f>
        <v>0</v>
      </c>
      <c r="B4" s="31" t="e">
        <f t="shared" si="0"/>
        <v>#DIV/0!</v>
      </c>
      <c r="C4" s="1">
        <f>$C$1-'Daphnia teszt WESSLING'!H11</f>
        <v>20</v>
      </c>
      <c r="D4" s="3">
        <f t="shared" si="1"/>
        <v>0</v>
      </c>
      <c r="E4" t="e">
        <f t="shared" si="2"/>
        <v>#NUM!</v>
      </c>
      <c r="F4" s="4">
        <f t="shared" si="3"/>
        <v>9.9811084560919028E-5</v>
      </c>
      <c r="G4">
        <f>IF(D4=0,1,IF(OR(AND(D4&lt;100,D3&lt;100),AND(D4&lt;100,D4&gt;0)),0,1))</f>
        <v>1</v>
      </c>
      <c r="H4">
        <f>IF(OR(AND(D4=100,D5&lt;100),AND(D4&lt;100,D5&gt;0)),0,1)</f>
        <v>1</v>
      </c>
      <c r="J4" s="2" t="e">
        <f ca="1">J5</f>
        <v>#N/A</v>
      </c>
      <c r="K4">
        <v>0</v>
      </c>
    </row>
    <row r="5" spans="1:14" x14ac:dyDescent="0.25">
      <c r="A5">
        <f>'Daphnia teszt WESSLING'!C10</f>
        <v>0</v>
      </c>
      <c r="B5" s="31" t="e">
        <f t="shared" si="0"/>
        <v>#DIV/0!</v>
      </c>
      <c r="C5" s="1">
        <f>$C$1-'Daphnia teszt WESSLING'!H10</f>
        <v>20</v>
      </c>
      <c r="D5" s="3">
        <f t="shared" si="1"/>
        <v>0</v>
      </c>
      <c r="E5" t="e">
        <f t="shared" si="2"/>
        <v>#NUM!</v>
      </c>
      <c r="F5" s="4">
        <f t="shared" si="3"/>
        <v>9.9811084560919028E-5</v>
      </c>
      <c r="G5">
        <f>IF(D5=0,1,IF(OR(AND(D5&lt;100,D4&lt;100),AND(D5&lt;100,D5&gt;0)),0,1))</f>
        <v>1</v>
      </c>
      <c r="H5">
        <f>IF(OR(AND(D5=100,D6&lt;100),AND(D5&lt;100,D6&gt;0)),0,1)</f>
        <v>1</v>
      </c>
      <c r="I5" t="s">
        <v>4</v>
      </c>
      <c r="J5" s="2" t="e">
        <f ca="1">IF(ISERROR(EXP(K5-L5)/M5),NA(),EXP((K5-L5)/M5))</f>
        <v>#N/A</v>
      </c>
      <c r="K5">
        <v>5</v>
      </c>
      <c r="L5" t="e">
        <f ca="1">INDEX(LINEST(INDIRECT(M1,TRUE),INDIRECT(M2,TRUE)),2)</f>
        <v>#VALUE!</v>
      </c>
      <c r="M5" t="e">
        <f ca="1">LINEST(INDIRECT(M1,TRUE),INDIRECT(M2,TRUE))</f>
        <v>#VALUE!</v>
      </c>
    </row>
    <row r="6" spans="1:14" x14ac:dyDescent="0.25">
      <c r="A6">
        <f>'Daphnia teszt WESSLING'!C9</f>
        <v>0</v>
      </c>
      <c r="B6" s="31" t="e">
        <f t="shared" si="0"/>
        <v>#DIV/0!</v>
      </c>
      <c r="C6" s="1">
        <f>$C$1-'Daphnia teszt WESSLING'!H9</f>
        <v>20</v>
      </c>
      <c r="D6" s="3">
        <f t="shared" si="1"/>
        <v>0</v>
      </c>
      <c r="E6" t="e">
        <f t="shared" si="2"/>
        <v>#NUM!</v>
      </c>
      <c r="F6" s="4">
        <f t="shared" si="3"/>
        <v>9.9811084560919028E-5</v>
      </c>
      <c r="G6">
        <f>IF(D6=0,1,IF(OR(AND(D6&lt;100,D5&lt;100),AND(D6&lt;100,D6&gt;0)),0,1))</f>
        <v>1</v>
      </c>
      <c r="H6">
        <f>IF(OR(AND(D6=100,D5&lt;100),AND(D6&lt;100,D6&gt;0)),0,1)</f>
        <v>1</v>
      </c>
      <c r="I6" t="s">
        <v>3</v>
      </c>
      <c r="J6" s="2" t="e">
        <f ca="1">IF(ISERROR(EXP(K6-L6)/M6),NA(),EXP((K6-L6)/M6))</f>
        <v>#N/A</v>
      </c>
      <c r="K6">
        <v>50</v>
      </c>
      <c r="L6" t="e">
        <f ca="1">INDEX(LINEST(INDIRECT(M3,TRUE),INDIRECT(M2,TRUE)),2)</f>
        <v>#VALUE!</v>
      </c>
      <c r="M6" t="e">
        <f ca="1">LINEST(INDIRECT(M3,TRUE),INDIRECT(M2,TRUE))</f>
        <v>#VALUE!</v>
      </c>
    </row>
    <row r="7" spans="1:14" x14ac:dyDescent="0.25">
      <c r="A7">
        <f>'Daphnia teszt WESSLING'!C8</f>
        <v>0</v>
      </c>
      <c r="B7" s="31" t="e">
        <f t="shared" si="0"/>
        <v>#DIV/0!</v>
      </c>
      <c r="C7" s="1">
        <f>$C$1-'Daphnia teszt WESSLING'!H8</f>
        <v>20</v>
      </c>
      <c r="D7" s="3">
        <f t="shared" si="1"/>
        <v>0</v>
      </c>
      <c r="E7" t="e">
        <f t="shared" si="2"/>
        <v>#NUM!</v>
      </c>
      <c r="F7" s="4">
        <f t="shared" si="3"/>
        <v>9.9811084560919028E-5</v>
      </c>
      <c r="G7">
        <f>IF(D7=0,1,IF(OR(AND(D7&lt;100,D6&lt;100),AND(D7&lt;100,D7&gt;0)),0,1))</f>
        <v>1</v>
      </c>
      <c r="H7">
        <f>IF(OR(AND(D7=100,D6&lt;100),AND(D7&lt;100,D7&gt;0)),0,1)</f>
        <v>1</v>
      </c>
      <c r="J7" s="2" t="e">
        <f ca="1">J6</f>
        <v>#N/A</v>
      </c>
      <c r="K7">
        <v>0</v>
      </c>
    </row>
    <row r="8" spans="1:14" x14ac:dyDescent="0.25">
      <c r="A8">
        <f>'Daphnia teszt WESSLING'!C7</f>
        <v>0</v>
      </c>
      <c r="B8" s="31" t="e">
        <f t="shared" si="0"/>
        <v>#DIV/0!</v>
      </c>
      <c r="C8" s="1">
        <f>$C$1-'Daphnia teszt WESSLING'!H7</f>
        <v>20</v>
      </c>
      <c r="D8" s="3">
        <f t="shared" si="1"/>
        <v>0</v>
      </c>
      <c r="E8" t="e">
        <f t="shared" si="2"/>
        <v>#NUM!</v>
      </c>
      <c r="F8" s="4">
        <f t="shared" si="3"/>
        <v>9.9811084560919028E-5</v>
      </c>
      <c r="G8">
        <f>IF(D8=0,1,IF(OR(AND(D8&lt;100,D7&lt;100),AND(D8&lt;100,D8&gt;0)),0,1))</f>
        <v>1</v>
      </c>
      <c r="H8">
        <f>IF(OR(AND(D8=100,D7&lt;100),AND(D8&lt;100,D8&gt;0)),0,1)</f>
        <v>1</v>
      </c>
    </row>
    <row r="9" spans="1:14" x14ac:dyDescent="0.25">
      <c r="D9" s="3">
        <f>D8</f>
        <v>0</v>
      </c>
    </row>
    <row r="10" spans="1:14" x14ac:dyDescent="0.25">
      <c r="A10" s="5" t="e">
        <f t="shared" ref="A10:B15" si="4">IF($G3=1,NA(),A3)</f>
        <v>#N/A</v>
      </c>
      <c r="B10" s="5" t="e">
        <f t="shared" si="4"/>
        <v>#N/A</v>
      </c>
      <c r="C10" s="5" t="str">
        <f t="shared" ref="C10:C15" si="5">IF($G3=1,"",C3)</f>
        <v/>
      </c>
      <c r="D10" s="5" t="e">
        <f t="shared" ref="D10:E15" si="6">IF($G3=1,NA(),D3)</f>
        <v>#N/A</v>
      </c>
      <c r="E10" s="5" t="e">
        <f t="shared" si="6"/>
        <v>#N/A</v>
      </c>
      <c r="F10" s="5" t="str">
        <f t="shared" ref="F10:F15" si="7">IF($G3=1,"",F3)</f>
        <v/>
      </c>
    </row>
    <row r="11" spans="1:14" x14ac:dyDescent="0.25">
      <c r="A11" s="5" t="e">
        <f>IF($G4=1,NA(),A4)</f>
        <v>#N/A</v>
      </c>
      <c r="B11" s="5" t="e">
        <f t="shared" si="4"/>
        <v>#N/A</v>
      </c>
      <c r="C11" s="5" t="str">
        <f t="shared" si="5"/>
        <v/>
      </c>
      <c r="D11" s="5" t="e">
        <f>IF($G4=1,NA(),D4)</f>
        <v>#N/A</v>
      </c>
      <c r="E11" s="5" t="e">
        <f t="shared" si="6"/>
        <v>#N/A</v>
      </c>
      <c r="F11" s="5" t="str">
        <f t="shared" si="7"/>
        <v/>
      </c>
    </row>
    <row r="12" spans="1:14" x14ac:dyDescent="0.25">
      <c r="A12" s="5" t="e">
        <f>IF($G5=1,NA(),A5)</f>
        <v>#N/A</v>
      </c>
      <c r="B12" s="5" t="e">
        <f t="shared" si="4"/>
        <v>#N/A</v>
      </c>
      <c r="C12" s="5" t="str">
        <f t="shared" si="5"/>
        <v/>
      </c>
      <c r="D12" s="5" t="e">
        <f>IF($G5=1,NA(),D5)</f>
        <v>#N/A</v>
      </c>
      <c r="E12" s="5" t="e">
        <f t="shared" si="6"/>
        <v>#N/A</v>
      </c>
      <c r="F12" s="5" t="str">
        <f t="shared" si="7"/>
        <v/>
      </c>
    </row>
    <row r="13" spans="1:14" x14ac:dyDescent="0.25">
      <c r="A13" s="5" t="e">
        <f>IF($G6=1,NA(),A6)</f>
        <v>#N/A</v>
      </c>
      <c r="B13" s="5" t="e">
        <f t="shared" si="4"/>
        <v>#N/A</v>
      </c>
      <c r="C13" s="5" t="str">
        <f t="shared" si="5"/>
        <v/>
      </c>
      <c r="D13" s="5" t="e">
        <f>IF($G6=1,NA(),D6)</f>
        <v>#N/A</v>
      </c>
      <c r="E13" s="5" t="e">
        <f t="shared" si="6"/>
        <v>#N/A</v>
      </c>
      <c r="F13" s="5" t="str">
        <f t="shared" si="7"/>
        <v/>
      </c>
    </row>
    <row r="14" spans="1:14" x14ac:dyDescent="0.25">
      <c r="A14" s="5" t="e">
        <f>IF($G7=1,NA(),A7)</f>
        <v>#N/A</v>
      </c>
      <c r="B14" s="5" t="e">
        <f t="shared" si="4"/>
        <v>#N/A</v>
      </c>
      <c r="C14" s="5" t="str">
        <f t="shared" si="5"/>
        <v/>
      </c>
      <c r="D14" s="5" t="e">
        <f>IF($G7=1,NA(),D7)</f>
        <v>#N/A</v>
      </c>
      <c r="E14" s="5" t="e">
        <f t="shared" si="6"/>
        <v>#N/A</v>
      </c>
      <c r="F14" s="5" t="str">
        <f t="shared" si="7"/>
        <v/>
      </c>
    </row>
    <row r="15" spans="1:14" x14ac:dyDescent="0.25">
      <c r="A15" s="5" t="e">
        <f>IF($G8=1,NA(),A8)</f>
        <v>#N/A</v>
      </c>
      <c r="B15" s="5" t="e">
        <f t="shared" si="4"/>
        <v>#N/A</v>
      </c>
      <c r="C15" s="5" t="str">
        <f t="shared" si="5"/>
        <v/>
      </c>
      <c r="D15" s="5" t="e">
        <f>IF($G8=1,NA(),D8)</f>
        <v>#N/A</v>
      </c>
      <c r="E15" s="5" t="e">
        <f t="shared" si="6"/>
        <v>#N/A</v>
      </c>
      <c r="F15" s="5" t="str">
        <f t="shared" si="7"/>
        <v/>
      </c>
    </row>
    <row r="16" spans="1:14" x14ac:dyDescent="0.25">
      <c r="F16" t="str">
        <f>IF($G10=1,"",F10)</f>
        <v/>
      </c>
    </row>
    <row r="18" spans="8:8" x14ac:dyDescent="0.25">
      <c r="H18" t="str">
        <f ca="1">TEXT(INDIRECT(CONCATENATE(J1,K1),TRUE),)</f>
        <v/>
      </c>
    </row>
  </sheetData>
  <phoneticPr fontId="1" type="noConversion"/>
  <pageMargins left="0.75" right="0.75" top="1" bottom="1" header="0.5" footer="0.5"/>
  <pageSetup paperSize="9" orientation="portrait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Daphnia teszt WESSLING</vt:lpstr>
      <vt:lpstr>Munka1</vt:lpstr>
      <vt:lpstr>'Daphnia teszt WESSLING'!Nyomtatási_terület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Zsuga Katalin</dc:creator>
  <cp:lastModifiedBy>Báskay Imre</cp:lastModifiedBy>
  <cp:lastPrinted>2011-05-24T09:09:29Z</cp:lastPrinted>
  <dcterms:created xsi:type="dcterms:W3CDTF">2009-03-10T11:59:50Z</dcterms:created>
  <dcterms:modified xsi:type="dcterms:W3CDTF">2020-05-13T19:14:04Z</dcterms:modified>
</cp:coreProperties>
</file>